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25" activeTab="5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специалистов'!$A$1:$M$21</definedName>
    <definedName name="_xlnm.Print_Area" localSheetId="0">'Организация СП'!$A$1:$R$9</definedName>
    <definedName name="_xlnm.Print_Area" localSheetId="1">'Реаб оборудование+оргтехника '!$A$1:$AI$12</definedName>
    <definedName name="_xlnm.Print_Area" localSheetId="5">'Таблица деньги все'!$A$1:$AH$5</definedName>
  </definedNames>
  <calcPr calcId="145621"/>
</workbook>
</file>

<file path=xl/calcChain.xml><?xml version="1.0" encoding="utf-8"?>
<calcChain xmlns="http://schemas.openxmlformats.org/spreadsheetml/2006/main">
  <c r="B6" i="6" l="1"/>
  <c r="D6" i="6"/>
  <c r="D7" i="6" s="1"/>
  <c r="F8" i="6" s="1"/>
  <c r="E6" i="6"/>
  <c r="J6" i="6"/>
  <c r="O6" i="6"/>
  <c r="T6" i="6"/>
  <c r="Y6" i="6"/>
  <c r="B7" i="6"/>
  <c r="K7" i="6"/>
  <c r="Q7" i="6"/>
  <c r="D9" i="6"/>
  <c r="B10" i="6"/>
  <c r="D5" i="6" l="1"/>
  <c r="G7" i="8" l="1"/>
  <c r="M5" i="6" s="1"/>
  <c r="E7" i="8"/>
  <c r="R5" i="6"/>
  <c r="P5" i="6"/>
  <c r="O5" i="6"/>
  <c r="I9" i="8"/>
  <c r="J9" i="8"/>
  <c r="H9" i="8"/>
  <c r="F9" i="8"/>
  <c r="G9" i="8"/>
  <c r="E9" i="8"/>
  <c r="J8" i="10"/>
  <c r="H8" i="10"/>
  <c r="G8" i="10"/>
  <c r="E8" i="10"/>
  <c r="F8" i="10"/>
  <c r="J7" i="10"/>
  <c r="H7" i="10"/>
  <c r="G7" i="10"/>
  <c r="E7" i="10"/>
  <c r="G6" i="9"/>
  <c r="E6" i="9"/>
  <c r="J7" i="8"/>
  <c r="H7" i="8"/>
  <c r="I8" i="10"/>
  <c r="F7" i="10"/>
  <c r="H8" i="8"/>
  <c r="J8" i="8"/>
  <c r="G8" i="8"/>
  <c r="E8" i="8"/>
  <c r="W5" i="6"/>
  <c r="X5" i="6" s="1"/>
  <c r="T5" i="6"/>
  <c r="E18" i="3"/>
  <c r="U5" i="6" s="1"/>
  <c r="F18" i="3"/>
  <c r="G18" i="3"/>
  <c r="G10" i="8"/>
  <c r="E10" i="8"/>
  <c r="J5" i="6" l="1"/>
  <c r="F7" i="8"/>
  <c r="K5" i="6"/>
  <c r="B5" i="6" s="1"/>
  <c r="F5" i="6"/>
  <c r="H5" i="6"/>
  <c r="I5" i="6" s="1"/>
  <c r="E5" i="6"/>
  <c r="I7" i="10"/>
  <c r="S5" i="6"/>
  <c r="N5" i="6"/>
  <c r="Z5" i="6"/>
  <c r="AB5" i="6"/>
  <c r="G7" i="3"/>
  <c r="G8" i="3"/>
  <c r="G9" i="3"/>
  <c r="G10" i="3"/>
  <c r="G11" i="3"/>
  <c r="G12" i="3"/>
  <c r="G13" i="3"/>
  <c r="G14" i="3"/>
  <c r="G15" i="3"/>
  <c r="G16" i="3"/>
  <c r="G17" i="3"/>
  <c r="G6" i="3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6" i="3"/>
  <c r="F6" i="3" s="1"/>
  <c r="F10" i="8"/>
  <c r="Q5" i="6" l="1"/>
  <c r="G5" i="6"/>
  <c r="V5" i="6"/>
  <c r="Y5" i="6"/>
  <c r="F6" i="9"/>
  <c r="AA5" i="6" s="1"/>
  <c r="AC5" i="6"/>
  <c r="L5" i="6"/>
  <c r="F8" i="8" l="1"/>
  <c r="I8" i="8"/>
  <c r="I7" i="8"/>
</calcChain>
</file>

<file path=xl/sharedStrings.xml><?xml version="1.0" encoding="utf-8"?>
<sst xmlns="http://schemas.openxmlformats.org/spreadsheetml/2006/main" count="251" uniqueCount="145">
  <si>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</si>
  <si>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</si>
  <si>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</si>
  <si>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</si>
  <si>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</si>
  <si>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</si>
  <si>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</si>
  <si>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</si>
  <si>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</si>
  <si>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</si>
  <si>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</si>
  <si>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</si>
  <si>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</si>
  <si>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</si>
  <si>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</si>
  <si>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</si>
  <si>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</si>
  <si>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</si>
  <si>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</si>
  <si>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</si>
  <si>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</si>
  <si>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</si>
  <si>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</si>
  <si>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</si>
  <si>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</si>
  <si>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</si>
  <si>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</si>
  <si>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</si>
  <si>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</si>
  <si>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</si>
  <si>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</si>
  <si>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</si>
  <si>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</si>
  <si>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</si>
  <si>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</si>
  <si>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</si>
  <si>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</si>
  <si>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</si>
  <si>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</si>
  <si>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</si>
  <si>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</si>
  <si>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</si>
  <si>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</si>
  <si>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</si>
  <si>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</si>
  <si>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</si>
  <si>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</si>
  <si>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</si>
  <si>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</si>
  <si>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</si>
  <si>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</si>
  <si>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</si>
  <si>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</si>
  <si>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</si>
  <si>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</si>
  <si>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</si>
  <si>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</si>
  <si>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</si>
  <si>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</si>
  <si>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</si>
  <si>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</si>
  <si>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</si>
  <si>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</si>
  <si>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</si>
  <si>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</si>
  <si>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</si>
  <si>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</si>
  <si>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</si>
  <si>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</si>
  <si>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программы  обучения инвалидов, в том числе детей-инвалидов, и членов их семей</t>
  </si>
  <si>
    <t>стоимость мероприятия по обучению инвалидов, в том числе детей-инвалидов, и членов их семей, тыс. руб.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</si>
  <si>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</si>
  <si>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</si>
  <si>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</si>
  <si>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</si>
  <si>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</si>
  <si>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</si>
  <si>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</si>
  <si>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</si>
  <si>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</si>
  <si>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</si>
  <si>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</t>
  </si>
  <si>
    <t>Объем средств, запланированных на приобретение мебели и бытовой техники , в 2021 году</t>
  </si>
  <si>
    <t>название мероприятия по обучению инвалидов, в том числе детей-инвалидов, и членов их семей*</t>
  </si>
  <si>
    <t>число инвалидов, в том числе детей-инвалидов, и членов их семей, которых планируется обучать, чел.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</si>
  <si>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</si>
  <si>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>Автономное учреждение социального обслуживания Удмуртской Республики      «Республиканский реабилитационный центр для детей и подростков с ограниченными     возможностями»</t>
  </si>
  <si>
    <t xml:space="preserve">Компьютер в комплекте, музыкальный центр, </t>
  </si>
  <si>
    <t xml:space="preserve">интерактивный сухой бассейн 1 шт, песочный стол с подсветкой 1 шт, интерактивный пол - 2шт. </t>
  </si>
  <si>
    <t>Массажный стол 1 шт, фитбол 2 шт, мяч-арахис 1 шт.</t>
  </si>
  <si>
    <t>психолого-педагогическая помощь</t>
  </si>
  <si>
    <t>ранняя помощь</t>
  </si>
  <si>
    <t>36 ак.часов</t>
  </si>
  <si>
    <t xml:space="preserve"> ЛФК</t>
  </si>
  <si>
    <t>ЛФК</t>
  </si>
  <si>
    <t>педагогическая помощь</t>
  </si>
  <si>
    <t>«Технические средства реабилитации в социальной реабилитации и абилитации граждан со стойкими расстройствами функций организма»</t>
  </si>
  <si>
    <t>16 ак.часов</t>
  </si>
  <si>
    <t>39.2.06.03 Организация обучения (профессиональная переподготовка, повышение квалификации) специалистов, предоставляющих услуги реабилитации и абилитации инвалидов, в том числе детей-инвалидов, сопровождаемого проживания, ранней помощи</t>
  </si>
  <si>
    <t>39.2.06.02 Обучение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навыкам, в том числе обучение слепоглухих инвалидов пользованию вспомогательными средствами для коммуникации и информации</t>
  </si>
  <si>
    <t xml:space="preserve">Повышение квалификации специалистов комплексной реабилитации </t>
  </si>
  <si>
    <t>не менее 120 ак.часов</t>
  </si>
  <si>
    <t>не менее 30 ак.часов</t>
  </si>
  <si>
    <t>Повышение квалификации специалистов ранней помощи</t>
  </si>
  <si>
    <t xml:space="preserve">психолого-педагогическая помощь в ранней помощи </t>
  </si>
  <si>
    <t xml:space="preserve">ЛФК в ранней помощи </t>
  </si>
  <si>
    <t xml:space="preserve">Повышение квалификации специалистов  комплексной реабилитации </t>
  </si>
  <si>
    <t xml:space="preserve">не менее 72 ак. часов </t>
  </si>
  <si>
    <t>не менее 36 ак.часов</t>
  </si>
  <si>
    <t>не менее 160 ак.часов</t>
  </si>
  <si>
    <t>не менее 56 ак.часов</t>
  </si>
  <si>
    <t>Удмуртская Республика</t>
  </si>
  <si>
    <t>Автономное учреждение социального обслуживания Удмуртской Республики "Республиканский социально-реабилитационный центр для граждан пожилого возраста и инвалидов"</t>
  </si>
  <si>
    <t>Комьютер AOC E2070Swn/01 Black (19,5", 1600*900, LED), 1 шт.</t>
  </si>
  <si>
    <r>
      <rPr>
        <b/>
        <sz val="10"/>
        <color indexed="8"/>
        <rFont val="Times New Roman"/>
        <family val="1"/>
        <charset val="204"/>
      </rPr>
      <t>VI.2.</t>
    </r>
    <r>
      <rPr>
        <sz val="10"/>
        <color indexed="8"/>
        <rFont val="Times New Roman"/>
        <family val="1"/>
        <charset val="204"/>
      </rPr>
      <t xml:space="preserve"> - 1262,42 </t>
    </r>
    <r>
      <rPr>
        <b/>
        <sz val="10"/>
        <color indexed="8"/>
        <rFont val="Times New Roman"/>
        <family val="1"/>
        <charset val="204"/>
      </rPr>
      <t>VI.9.2.</t>
    </r>
    <r>
      <rPr>
        <sz val="10"/>
        <color indexed="8"/>
        <rFont val="Times New Roman"/>
        <family val="1"/>
        <charset val="204"/>
      </rPr>
      <t xml:space="preserve"> - 700,4 </t>
    </r>
    <r>
      <rPr>
        <b/>
        <sz val="10"/>
        <color indexed="8"/>
        <rFont val="Times New Roman"/>
        <family val="1"/>
        <charset val="204"/>
      </rPr>
      <t>VI.9.6.</t>
    </r>
    <r>
      <rPr>
        <sz val="10"/>
        <color indexed="8"/>
        <rFont val="Times New Roman"/>
        <family val="1"/>
        <charset val="204"/>
      </rPr>
      <t xml:space="preserve"> - 969,00 </t>
    </r>
    <r>
      <rPr>
        <b/>
        <sz val="10"/>
        <color indexed="8"/>
        <rFont val="Times New Roman"/>
        <family val="1"/>
        <charset val="204"/>
      </rPr>
      <t>VI.9.3.</t>
    </r>
    <r>
      <rPr>
        <sz val="10"/>
        <color indexed="8"/>
        <rFont val="Times New Roman"/>
        <family val="1"/>
        <charset val="204"/>
      </rPr>
      <t xml:space="preserve"> - 1442,45; 1436,4; 364,8.</t>
    </r>
  </si>
  <si>
    <r>
      <rPr>
        <b/>
        <sz val="10"/>
        <color indexed="8"/>
        <rFont val="Times New Roman"/>
        <family val="1"/>
        <charset val="204"/>
      </rPr>
      <t>VI.2. Беговые (роликовые) дорожки:</t>
    </r>
    <r>
      <rPr>
        <sz val="10"/>
        <color indexed="8"/>
        <rFont val="Times New Roman"/>
        <family val="1"/>
        <charset val="204"/>
      </rPr>
      <t xml:space="preserve"> - Дорожка беговая реабилитационная. </t>
    </r>
    <r>
      <rPr>
        <b/>
        <sz val="10"/>
        <color indexed="8"/>
        <rFont val="Times New Roman"/>
        <family val="1"/>
        <charset val="204"/>
      </rPr>
      <t>VI.9.2. Велотренажеры:</t>
    </r>
    <r>
      <rPr>
        <sz val="10"/>
        <color indexed="8"/>
        <rFont val="Times New Roman"/>
        <family val="1"/>
        <charset val="204"/>
      </rPr>
      <t xml:space="preserve"> - Реабилитационный комплекс (велоэргометр) для сердечно-сосудистой системы. </t>
    </r>
    <r>
      <rPr>
        <b/>
        <sz val="10"/>
        <color indexed="8"/>
        <rFont val="Times New Roman"/>
        <family val="1"/>
        <charset val="204"/>
      </rPr>
      <t>VI.9.6. Тренажеры для укрепления позвоночника:</t>
    </r>
    <r>
      <rPr>
        <sz val="10"/>
        <color indexed="8"/>
        <rFont val="Times New Roman"/>
        <family val="1"/>
        <charset val="204"/>
      </rPr>
      <t xml:space="preserve"> - Стабиллоплатформа для тестирования и реабилитации с принадлежностями. </t>
    </r>
    <r>
      <rPr>
        <b/>
        <sz val="10"/>
        <color indexed="8"/>
        <rFont val="Times New Roman"/>
        <family val="1"/>
        <charset val="204"/>
      </rPr>
      <t>VI.9.3. Силовые тренажеры:</t>
    </r>
    <r>
      <rPr>
        <sz val="10"/>
        <color indexed="8"/>
        <rFont val="Times New Roman"/>
        <family val="1"/>
        <charset val="204"/>
      </rPr>
      <t xml:space="preserve"> - Реабилитационный комплекс для механотерапии мышц плечевого пояса. - Тренажер реабилитационный для разработки суставов. - Реабилитационный комплекс для механотерапии.</t>
    </r>
  </si>
  <si>
    <t>VI.9.2. Велотренажеры: - Велотренажер DFC B 8715R. - Велоэргометр DC 7200 HKG-HB. -  Велотренажер магнитный KLJ-6.2C. VI.2. Беговые (роликовые) дорожки: - Беговая дорожка AMF 8643E. - Беговая дорожка электр. HP. - Беговая дорожка с эл. приводом "Stingrey"M-210. VI.9.4. Тренажеры для разработки нижних конечностей: - Магнитный эллитпт. тренажер KLJ-3.7H. VI.9.3. Силовые тренажеры: - Многофункциональный атлетический центр BMG-4300. VI.9.5. Тренажеры для укрепления мышц бедра и голени: - Министеппер поворотный ST0706-01. VI.9.6. Тренажеры для укрепления позвоночника: - Балансировочная доска. VI.10. Шведская стенка.</t>
  </si>
  <si>
    <t>БУЗ УР "Республиканская детская клиническая больница МЗ УР"</t>
  </si>
  <si>
    <t>I. 3.7. - 20, 0;    I. 3.10. - 30,0</t>
  </si>
  <si>
    <t xml:space="preserve">VI.9.2. Велотренажеры: - МИНИ Велотренажер-2шт.  -Велотренажер магнитный 1 шт. VI.2. Беговые (роликовые) дорожки: -Беговая дорожка механическая 1шт. Беговая дорожка электрическая 1шт.,                 -Беговая дорожка эл.приводом . VI.9.4. Тренажеры для разработки нижних конечностей: 
КТ " Мотомед" 1 шт.                         VI.9.3. Силовые тренажеры:     -Тренажер "гребля" 2 шт.           VI.9.5. Тренажеры для укрепления мышц бедра и голени:                           -Министеппер поворотный 1 шт.                                    VI.10. Шведская стенка 1 шт. </t>
  </si>
  <si>
    <t>Объем средств, запланированных на проведение мероприятий по обучению специалистов, в 2021 году</t>
  </si>
  <si>
    <t xml:space="preserve">I. 3.7. Наборы массажных валиков, 2 набор; I. 3.10. Учебно-тренировочные настенные модули с прорезями для развития целеноправленных движений рук, зрительно-моторной координации. 1 набор </t>
  </si>
  <si>
    <t xml:space="preserve">VI.9.2.                 300,,00                                                                 VI.9.4.                539,00; 560,00 VI.2.                      1 170,00      VI.4. 400,00   </t>
  </si>
  <si>
    <t>Автономное стационарное учреждение социального обслуживания Удмуртской Республики "Республиканский дом-интернат для престарелых и инвалидов"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</si>
  <si>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федерального бюджета, %</t>
  </si>
  <si>
    <t>Повышение квалификации специалистов по сопровождаемому проживанию</t>
  </si>
  <si>
    <t>социальная работа, психолого-педагогическая помощь</t>
  </si>
  <si>
    <t>Объем средств, запланированных на проведение мероприятий по обучению инвалидов, в том числе детей-инвалидов, и членов их семей , в 2021 году</t>
  </si>
  <si>
    <t>39.2.06.05 "Оснащение организаций оборудованием для социально средовой и социально-бытовой реабилитации в условиях сопровождаемого проживания"     (кровать, 8 шт., прикроватная тумбочка, 8 шт., стол обеденный, 4 шт., шкаф для одежды,4шт.,, диван, 4 шт., табурет, 8 шт, кухня  адаптированная для инвалидов, 1 шт.)</t>
  </si>
  <si>
    <t>39.2.06.05 "Оснащение организаций оборудованием для социально средовой и социально-бытовой реабилитации в условиях сопровождаемого проживания"     (кровать, 4 шт., прикроватная тумбочка, 4 шт., стол обеденный, 2шт, шкаф для одежды 2 шт., табурет 4 шт., диван, 4 шт., кухня, адаптированная для инвалидов, 1 шт.)</t>
  </si>
  <si>
    <t>кровать - 4,5, прикроватная тумбочка -2,5, стол обеденный - 5,1, шкаф для одежды - 5,2, диван - 35,0, табурет - 0,5, кухня, адаптированная для инвалидов - 150,0</t>
  </si>
  <si>
    <t>кровать - 4,5, прикроватная тумбочка -2,5, стол обеденный - 5,1, шкаф для одежды - 5,2,диван - 35,0,  табурет - 0,5, кухня, адаптированная для инвалидов - 150,0</t>
  </si>
  <si>
    <t>39.2.06.05 "Оснащение организаций оборудованием для социально средовой и социально-бытовой реабилитации в условиях сопровождаемого проживания" (телевизор - 4 шт., стиральная машина - 1 шт., холодильник - 2шт, мультиварка  - 2 шт., печь СВЧ - 2 шт., эл. чайник - 2 шт., эл. жарочный шкаф - 1 шт, эл. варочная поверхность - 1 шт., утюг - 2 шт., гладильная доска, 2 шт., сушилка д/белья, 2 шт.)</t>
  </si>
  <si>
    <t>39.2.06.05 "Оснащение организаций оборудованием для социально средовой и социально-бытовой реабилитации в условиях сопровождаемого проживания" (телевизор - 2 шт., стиральная машина -1 шт., холодильник - 1шт, мультиварка  - 1 шт., печь СВЧ - 2 шт., эл. чайник - 1 шт., эл. жарочный шкаф - 1 шт, эл. варочная поверхность - 1 шт., утюг -1 шт.. гладильная доска, 1шт, сушилка д/белья, 1 шт.)</t>
  </si>
  <si>
    <t>телевизор - 20,0,  стиральная машина - 20,0, холодильник - 40,0, мультиварка  4,0, печь СВЧ - 7,0., эл. чайник - 3,0, эл. жарочный шкаф - 30,0,     эл. варочная поверхность - 25,0, утюг - 4,0, гладильная доска, 1,5, сушилка д/белья, 4,0</t>
  </si>
  <si>
    <t>телевизор - 20,0,  стиральная машина - 20,0, холодильник - 40,0, мультиварка  4,0, печь СВЧ - 7,0.,эл. чайник - 3,0, эл. жарочный шкаф - 30,0,     эл. варочная поверхность - 25,0, утюг - 4,0, гладильная доска, 1,5, сушилка д/белья, 4,0</t>
  </si>
  <si>
    <t>III.7. Оборудование для сенсорной комнаты, 1 комп.</t>
  </si>
  <si>
    <t xml:space="preserve">VI. 11. Тренажеры, 1 шт. </t>
  </si>
  <si>
    <t xml:space="preserve">VI.9.2. Велотренажеры:   -Велоэргомент 1 шт.VI.9.4. Тренажеры для разработки нижних конечностей:                                                                 
-Тренажер реабилитационный для восстановления функций верхних и нижних конечностей, 2 шт.   VI.2. Беговые (роликовые) дорожки:
- Дорожка беговая реабилитационная (или Тредмил)1 шт.
VI.4.Массажная кушетка: Медицинская массажная кушеткак ормед -релакс 1 шт.       
</t>
  </si>
  <si>
    <t>Диагностическая методика «Комплексная оценка развития детей в возрасте от 2 месяцев до 3 лет 6 месяцев», 10 шт.</t>
  </si>
  <si>
    <t>I. Оборудование для социально-бытовой реабилитации и абилитации инвалидов (Оборудование из раздела "Жилой модуль "Кухня" с кухонной мебелью, адаптированной к потребностям инвалидов и ассистивными устройствами", 
Ассистивные устройства для самообслуживания инвалидов с различными ограничениями жизнедеятельности )</t>
  </si>
  <si>
    <t>Планшет, 14 штук</t>
  </si>
  <si>
    <t xml:space="preserve">Компьютер в сборе,  2 шт. </t>
  </si>
  <si>
    <t>Бюджетное учреждение социального обслуживания Удмуртской Республики «Республиканский комплексный центр социального обслуживания населенияа»</t>
  </si>
  <si>
    <t>Бюджетное учреждение социального обслуживания Удмуртской Республики «Республиканский комплексный центр социального обслуживания населения»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</si>
</sst>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wrapText="1"/>
    </xf>
    <xf numFmtId="2" fontId="9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4" fillId="0" borderId="1" xfId="1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8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view="pageBreakPreview" topLeftCell="B1" zoomScale="61" zoomScaleNormal="100" zoomScaleSheetLayoutView="61" workbookViewId="0">
      <selection activeCell="K8" sqref="K8"/>
    </sheetView>
  </sheetViews>
  <sheetFormatPr defaultRowHeight="15" x14ac:dyDescent="0.2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customWidth="1"/>
    <col min="13" max="13" width="13.28515625" customWidth="1"/>
    <col min="14" max="14" width="13" customWidth="1"/>
    <col min="15" max="15" width="10.7109375" customWidth="1"/>
    <col min="16" max="16" width="13.28515625" customWidth="1"/>
    <col min="17" max="17" width="13" customWidth="1"/>
    <col min="20" max="20" width="10.28515625" bestFit="1" customWidth="1"/>
  </cols>
  <sheetData>
    <row r="1" spans="1:20" ht="45" customHeight="1" x14ac:dyDescent="0.25">
      <c r="A1" s="69" t="s">
        <v>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0" ht="30" customHeight="1" x14ac:dyDescent="0.25"/>
    <row r="3" spans="1:20" ht="37.5" customHeight="1" x14ac:dyDescent="0.25">
      <c r="A3" s="63" t="s">
        <v>0</v>
      </c>
      <c r="B3" s="60" t="s">
        <v>49</v>
      </c>
      <c r="C3" s="60" t="s">
        <v>50</v>
      </c>
      <c r="D3" s="60" t="s">
        <v>51</v>
      </c>
      <c r="E3" s="73" t="s">
        <v>75</v>
      </c>
      <c r="F3" s="73" t="s">
        <v>76</v>
      </c>
      <c r="G3" s="60" t="s">
        <v>73</v>
      </c>
      <c r="H3" s="73" t="s">
        <v>74</v>
      </c>
      <c r="I3" s="73" t="s">
        <v>124</v>
      </c>
      <c r="J3" s="60" t="s">
        <v>77</v>
      </c>
      <c r="K3" s="63" t="s">
        <v>27</v>
      </c>
      <c r="L3" s="58" t="s">
        <v>78</v>
      </c>
      <c r="M3" s="58"/>
      <c r="N3" s="58"/>
      <c r="O3" s="58" t="s">
        <v>79</v>
      </c>
      <c r="P3" s="58"/>
      <c r="Q3" s="58"/>
    </row>
    <row r="4" spans="1:20" ht="56.25" customHeight="1" x14ac:dyDescent="0.25">
      <c r="A4" s="64"/>
      <c r="B4" s="71"/>
      <c r="C4" s="61"/>
      <c r="D4" s="61"/>
      <c r="E4" s="74"/>
      <c r="F4" s="74"/>
      <c r="G4" s="61"/>
      <c r="H4" s="74"/>
      <c r="I4" s="74"/>
      <c r="J4" s="61"/>
      <c r="K4" s="64"/>
      <c r="L4" s="59"/>
      <c r="M4" s="59"/>
      <c r="N4" s="59"/>
      <c r="O4" s="59"/>
      <c r="P4" s="59"/>
      <c r="Q4" s="59"/>
    </row>
    <row r="5" spans="1:20" ht="166.5" customHeight="1" x14ac:dyDescent="0.25">
      <c r="A5" s="64"/>
      <c r="B5" s="72"/>
      <c r="C5" s="62"/>
      <c r="D5" s="62"/>
      <c r="E5" s="75"/>
      <c r="F5" s="75"/>
      <c r="G5" s="62"/>
      <c r="H5" s="75"/>
      <c r="I5" s="75"/>
      <c r="J5" s="62"/>
      <c r="K5" s="64"/>
      <c r="L5" s="13" t="s">
        <v>8</v>
      </c>
      <c r="M5" s="13" t="s">
        <v>81</v>
      </c>
      <c r="N5" s="12" t="s">
        <v>19</v>
      </c>
      <c r="O5" s="13" t="s">
        <v>8</v>
      </c>
      <c r="P5" s="13" t="s">
        <v>81</v>
      </c>
      <c r="Q5" s="12" t="s">
        <v>19</v>
      </c>
    </row>
    <row r="6" spans="1:2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</row>
    <row r="7" spans="1:20" ht="409.5" customHeight="1" x14ac:dyDescent="0.25">
      <c r="A7" s="65" t="s">
        <v>111</v>
      </c>
      <c r="B7" s="65">
        <v>11620.53</v>
      </c>
      <c r="C7" s="65">
        <v>81</v>
      </c>
      <c r="D7" s="65">
        <v>2725.7963</v>
      </c>
      <c r="E7" s="35">
        <f>391.2*81%</f>
        <v>316.87200000000001</v>
      </c>
      <c r="F7" s="35">
        <f>E7/B7</f>
        <v>2.7268291549524849E-2</v>
      </c>
      <c r="G7" s="35">
        <f>391.2*19%</f>
        <v>74.328000000000003</v>
      </c>
      <c r="H7" s="35">
        <f>282*81%</f>
        <v>228.42000000000002</v>
      </c>
      <c r="I7" s="35">
        <f>H7/B7</f>
        <v>1.9656590534166685E-2</v>
      </c>
      <c r="J7" s="35">
        <f>282*19%</f>
        <v>53.58</v>
      </c>
      <c r="K7" s="26" t="s">
        <v>123</v>
      </c>
      <c r="L7" s="4"/>
      <c r="M7" s="26" t="s">
        <v>128</v>
      </c>
      <c r="N7" s="26" t="s">
        <v>130</v>
      </c>
      <c r="O7" s="26"/>
      <c r="P7" s="26" t="s">
        <v>132</v>
      </c>
      <c r="Q7" s="26" t="s">
        <v>134</v>
      </c>
      <c r="T7" s="47"/>
    </row>
    <row r="8" spans="1:20" ht="402" customHeight="1" x14ac:dyDescent="0.25">
      <c r="A8" s="66"/>
      <c r="B8" s="67"/>
      <c r="C8" s="67"/>
      <c r="D8" s="68"/>
      <c r="E8" s="35">
        <f>270.6*81%</f>
        <v>219.18600000000004</v>
      </c>
      <c r="F8" s="35">
        <f>E8/B7</f>
        <v>1.8861962406189738E-2</v>
      </c>
      <c r="G8" s="35">
        <f>270.6*19%</f>
        <v>51.414000000000001</v>
      </c>
      <c r="H8" s="35">
        <f>178.5*81%</f>
        <v>144.58500000000001</v>
      </c>
      <c r="I8" s="35">
        <f>H8/B7</f>
        <v>1.2442203582796999E-2</v>
      </c>
      <c r="J8" s="35">
        <f>178.5*19%</f>
        <v>33.914999999999999</v>
      </c>
      <c r="K8" s="26" t="s">
        <v>144</v>
      </c>
      <c r="L8" s="27"/>
      <c r="M8" s="26" t="s">
        <v>129</v>
      </c>
      <c r="N8" s="26" t="s">
        <v>131</v>
      </c>
      <c r="O8" s="27"/>
      <c r="P8" s="26" t="s">
        <v>133</v>
      </c>
      <c r="Q8" s="26" t="s">
        <v>135</v>
      </c>
    </row>
    <row r="9" spans="1:20" ht="22.5" customHeight="1" x14ac:dyDescent="0.25">
      <c r="A9" s="56" t="s">
        <v>80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</sheetData>
  <mergeCells count="19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9:Q9"/>
    <mergeCell ref="O3:Q4"/>
    <mergeCell ref="J3:J5"/>
    <mergeCell ref="K3:K5"/>
    <mergeCell ref="L3:N4"/>
    <mergeCell ref="A7:A8"/>
    <mergeCell ref="B7:B8"/>
    <mergeCell ref="C7:C8"/>
    <mergeCell ref="D7:D8"/>
  </mergeCells>
  <pageMargins left="0.7" right="0.7" top="0.75" bottom="0.75" header="0.3" footer="0.3"/>
  <pageSetup paperSize="9" scale="4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view="pageBreakPreview" topLeftCell="H7" zoomScale="67" zoomScaleNormal="100" zoomScaleSheetLayoutView="67" workbookViewId="0">
      <selection activeCell="K9" sqref="K9"/>
    </sheetView>
  </sheetViews>
  <sheetFormatPr defaultRowHeight="15" x14ac:dyDescent="0.2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customWidth="1"/>
    <col min="13" max="13" width="13.28515625" customWidth="1"/>
    <col min="14" max="14" width="13" customWidth="1"/>
    <col min="15" max="15" width="13.7109375" customWidth="1"/>
    <col min="16" max="17" width="13.85546875" customWidth="1"/>
    <col min="18" max="18" width="13.7109375" customWidth="1"/>
    <col min="19" max="19" width="14.5703125" customWidth="1"/>
    <col min="20" max="20" width="15.28515625" customWidth="1"/>
    <col min="21" max="21" width="14" customWidth="1"/>
    <col min="22" max="22" width="14.42578125" customWidth="1"/>
    <col min="23" max="23" width="13.140625" customWidth="1"/>
    <col min="24" max="24" width="13.28515625" customWidth="1"/>
    <col min="25" max="25" width="14" customWidth="1"/>
    <col min="26" max="27" width="13.28515625" customWidth="1"/>
    <col min="28" max="28" width="14.5703125" customWidth="1"/>
    <col min="29" max="29" width="13.140625" customWidth="1"/>
    <col min="30" max="30" width="13" customWidth="1"/>
    <col min="31" max="31" width="14.85546875" customWidth="1"/>
    <col min="32" max="32" width="14" customWidth="1"/>
    <col min="33" max="33" width="13.28515625" customWidth="1"/>
    <col min="34" max="34" width="14.5703125" customWidth="1"/>
    <col min="35" max="35" width="13.140625" customWidth="1"/>
  </cols>
  <sheetData>
    <row r="1" spans="1:35" ht="65.2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ht="30" customHeight="1" x14ac:dyDescent="0.25"/>
    <row r="3" spans="1:35" ht="37.5" customHeight="1" x14ac:dyDescent="0.25">
      <c r="A3" s="63" t="s">
        <v>0</v>
      </c>
      <c r="B3" s="60" t="s">
        <v>49</v>
      </c>
      <c r="C3" s="60" t="s">
        <v>50</v>
      </c>
      <c r="D3" s="60" t="s">
        <v>51</v>
      </c>
      <c r="E3" s="73" t="s">
        <v>52</v>
      </c>
      <c r="F3" s="73" t="s">
        <v>53</v>
      </c>
      <c r="G3" s="60" t="s">
        <v>54</v>
      </c>
      <c r="H3" s="73" t="s">
        <v>26</v>
      </c>
      <c r="I3" s="73" t="s">
        <v>55</v>
      </c>
      <c r="J3" s="60" t="s">
        <v>56</v>
      </c>
      <c r="K3" s="63" t="s">
        <v>27</v>
      </c>
      <c r="L3" s="58" t="s">
        <v>28</v>
      </c>
      <c r="M3" s="58"/>
      <c r="N3" s="58"/>
      <c r="O3" s="58" t="s">
        <v>11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76"/>
      <c r="AB3" s="76"/>
      <c r="AC3" s="76"/>
      <c r="AD3" s="76"/>
      <c r="AE3" s="76"/>
      <c r="AF3" s="76"/>
      <c r="AG3" s="76"/>
      <c r="AH3" s="76"/>
      <c r="AI3" s="76"/>
    </row>
    <row r="4" spans="1:35" ht="56.25" customHeight="1" x14ac:dyDescent="0.25">
      <c r="A4" s="64"/>
      <c r="B4" s="71"/>
      <c r="C4" s="61"/>
      <c r="D4" s="61"/>
      <c r="E4" s="74"/>
      <c r="F4" s="74"/>
      <c r="G4" s="61"/>
      <c r="H4" s="74"/>
      <c r="I4" s="74"/>
      <c r="J4" s="61"/>
      <c r="K4" s="64"/>
      <c r="L4" s="59"/>
      <c r="M4" s="59"/>
      <c r="N4" s="59"/>
      <c r="O4" s="77" t="s">
        <v>12</v>
      </c>
      <c r="P4" s="78"/>
      <c r="Q4" s="79"/>
      <c r="R4" s="77" t="s">
        <v>13</v>
      </c>
      <c r="S4" s="78"/>
      <c r="T4" s="79"/>
      <c r="U4" s="77" t="s">
        <v>30</v>
      </c>
      <c r="V4" s="80"/>
      <c r="W4" s="81"/>
      <c r="X4" s="77" t="s">
        <v>14</v>
      </c>
      <c r="Y4" s="80"/>
      <c r="Z4" s="81"/>
      <c r="AA4" s="77" t="s">
        <v>15</v>
      </c>
      <c r="AB4" s="82"/>
      <c r="AC4" s="79"/>
      <c r="AD4" s="77" t="s">
        <v>16</v>
      </c>
      <c r="AE4" s="78"/>
      <c r="AF4" s="79"/>
      <c r="AG4" s="63" t="s">
        <v>17</v>
      </c>
      <c r="AH4" s="59"/>
      <c r="AI4" s="59"/>
    </row>
    <row r="5" spans="1:35" ht="159" customHeight="1" x14ac:dyDescent="0.25">
      <c r="A5" s="64"/>
      <c r="B5" s="72"/>
      <c r="C5" s="62"/>
      <c r="D5" s="62"/>
      <c r="E5" s="75"/>
      <c r="F5" s="75"/>
      <c r="G5" s="62"/>
      <c r="H5" s="75"/>
      <c r="I5" s="75"/>
      <c r="J5" s="62"/>
      <c r="K5" s="64"/>
      <c r="L5" s="8" t="s">
        <v>8</v>
      </c>
      <c r="M5" s="8" t="s">
        <v>36</v>
      </c>
      <c r="N5" s="7" t="s">
        <v>19</v>
      </c>
      <c r="O5" s="8" t="s">
        <v>9</v>
      </c>
      <c r="P5" s="8" t="s">
        <v>10</v>
      </c>
      <c r="Q5" s="7" t="s">
        <v>7</v>
      </c>
      <c r="R5" s="8" t="s">
        <v>9</v>
      </c>
      <c r="S5" s="8" t="s">
        <v>10</v>
      </c>
      <c r="T5" s="7" t="s">
        <v>7</v>
      </c>
      <c r="U5" s="8" t="s">
        <v>9</v>
      </c>
      <c r="V5" s="8" t="s">
        <v>10</v>
      </c>
      <c r="W5" s="7" t="s">
        <v>7</v>
      </c>
      <c r="X5" s="8" t="s">
        <v>9</v>
      </c>
      <c r="Y5" s="8" t="s">
        <v>10</v>
      </c>
      <c r="Z5" s="7" t="s">
        <v>7</v>
      </c>
      <c r="AA5" s="8" t="s">
        <v>9</v>
      </c>
      <c r="AB5" s="8" t="s">
        <v>10</v>
      </c>
      <c r="AC5" s="7" t="s">
        <v>7</v>
      </c>
      <c r="AD5" s="8" t="s">
        <v>9</v>
      </c>
      <c r="AE5" s="8" t="s">
        <v>10</v>
      </c>
      <c r="AF5" s="7" t="s">
        <v>7</v>
      </c>
      <c r="AG5" s="8" t="s">
        <v>9</v>
      </c>
      <c r="AH5" s="8" t="s">
        <v>10</v>
      </c>
      <c r="AI5" s="7" t="s">
        <v>7</v>
      </c>
    </row>
    <row r="6" spans="1:3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32</v>
      </c>
      <c r="AG6" s="4">
        <v>33</v>
      </c>
      <c r="AH6" s="4">
        <v>34</v>
      </c>
      <c r="AI6" s="4">
        <v>35</v>
      </c>
    </row>
    <row r="7" spans="1:35" ht="359.25" customHeight="1" x14ac:dyDescent="0.25">
      <c r="A7" s="65" t="s">
        <v>111</v>
      </c>
      <c r="B7" s="65">
        <v>11620.53</v>
      </c>
      <c r="C7" s="65">
        <v>81</v>
      </c>
      <c r="D7" s="65">
        <v>2725.7963</v>
      </c>
      <c r="E7" s="28">
        <f>Q7*81%</f>
        <v>661.67790300000001</v>
      </c>
      <c r="F7" s="36">
        <f>E7/B7</f>
        <v>5.694042380166825E-2</v>
      </c>
      <c r="G7" s="28">
        <f>Q7*19%</f>
        <v>155.20839699999999</v>
      </c>
      <c r="H7" s="28">
        <f>203.42*81%</f>
        <v>164.77019999999999</v>
      </c>
      <c r="I7" s="37">
        <f>H7/B7</f>
        <v>1.417923278886591E-2</v>
      </c>
      <c r="J7" s="28">
        <f>203.42*19%</f>
        <v>38.649799999999999</v>
      </c>
      <c r="K7" s="28" t="s">
        <v>86</v>
      </c>
      <c r="L7" s="28" t="s">
        <v>87</v>
      </c>
      <c r="M7" s="29" t="s">
        <v>141</v>
      </c>
      <c r="N7" s="16">
        <v>14.53</v>
      </c>
      <c r="O7" s="28"/>
      <c r="P7" s="28" t="s">
        <v>140</v>
      </c>
      <c r="Q7" s="28">
        <v>816.88630000000001</v>
      </c>
      <c r="R7" s="28"/>
      <c r="S7" s="28"/>
      <c r="T7" s="28"/>
      <c r="U7" s="28" t="s">
        <v>88</v>
      </c>
      <c r="V7" s="28"/>
      <c r="W7" s="28"/>
      <c r="X7" s="28"/>
      <c r="Y7" s="28"/>
      <c r="Z7" s="28"/>
      <c r="AA7" s="28"/>
      <c r="AB7" s="29"/>
      <c r="AC7" s="16"/>
      <c r="AD7" s="29" t="s">
        <v>89</v>
      </c>
      <c r="AE7" s="28" t="s">
        <v>137</v>
      </c>
      <c r="AF7" s="28"/>
      <c r="AG7" s="28"/>
      <c r="AH7" s="28"/>
      <c r="AI7" s="28"/>
    </row>
    <row r="8" spans="1:35" ht="409.5" customHeight="1" x14ac:dyDescent="0.25">
      <c r="A8" s="83"/>
      <c r="B8" s="83"/>
      <c r="C8" s="83"/>
      <c r="D8" s="83"/>
      <c r="E8" s="28">
        <f xml:space="preserve"> 6175.47*81%</f>
        <v>5002.1307000000006</v>
      </c>
      <c r="F8" s="36">
        <f>E8/B7</f>
        <v>0.43045633030507219</v>
      </c>
      <c r="G8" s="28">
        <f>6175.47*19%</f>
        <v>1173.3393000000001</v>
      </c>
      <c r="H8" s="28">
        <f>100.86*81%</f>
        <v>81.696600000000004</v>
      </c>
      <c r="I8" s="37">
        <f>H8/B7</f>
        <v>7.0303678059434466E-3</v>
      </c>
      <c r="J8" s="28">
        <f>100.86*19%</f>
        <v>19.163399999999999</v>
      </c>
      <c r="K8" s="28" t="s">
        <v>112</v>
      </c>
      <c r="L8" s="28" t="s">
        <v>113</v>
      </c>
      <c r="M8" s="29" t="s">
        <v>142</v>
      </c>
      <c r="N8" s="16">
        <v>50.43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16"/>
      <c r="AD8" s="34" t="s">
        <v>116</v>
      </c>
      <c r="AE8" s="28" t="s">
        <v>115</v>
      </c>
      <c r="AF8" s="29" t="s">
        <v>114</v>
      </c>
      <c r="AG8" s="28"/>
      <c r="AH8" s="28"/>
      <c r="AI8" s="28"/>
    </row>
    <row r="9" spans="1:35" ht="160.5" customHeight="1" x14ac:dyDescent="0.25">
      <c r="A9" s="83"/>
      <c r="B9" s="83"/>
      <c r="C9" s="83"/>
      <c r="D9" s="83"/>
      <c r="E9" s="28">
        <f>1070*81%</f>
        <v>866.7</v>
      </c>
      <c r="F9" s="37">
        <f>E9/B7</f>
        <v>7.4583517275029626E-2</v>
      </c>
      <c r="G9" s="28">
        <f>1070*19%</f>
        <v>203.3</v>
      </c>
      <c r="H9" s="28">
        <f>100.86*81%</f>
        <v>81.696600000000004</v>
      </c>
      <c r="I9" s="37">
        <f>H9/B7</f>
        <v>7.0303678059434466E-3</v>
      </c>
      <c r="J9" s="28">
        <f>100.86*19%</f>
        <v>19.163399999999999</v>
      </c>
      <c r="K9" s="26" t="s">
        <v>143</v>
      </c>
      <c r="L9" s="28" t="s">
        <v>87</v>
      </c>
      <c r="M9" s="29" t="s">
        <v>142</v>
      </c>
      <c r="N9" s="16">
        <v>50.43</v>
      </c>
      <c r="O9" s="28"/>
      <c r="P9" s="28"/>
      <c r="Q9" s="28"/>
      <c r="R9" s="28"/>
      <c r="S9" s="28"/>
      <c r="T9" s="28"/>
      <c r="U9" s="28"/>
      <c r="V9" s="29" t="s">
        <v>136</v>
      </c>
      <c r="W9" s="28">
        <v>800</v>
      </c>
      <c r="X9" s="28"/>
      <c r="Y9" s="28" t="s">
        <v>139</v>
      </c>
      <c r="Z9" s="35">
        <v>27</v>
      </c>
      <c r="AA9" s="28"/>
      <c r="AB9" s="29"/>
      <c r="AC9" s="16"/>
      <c r="AD9" s="34"/>
      <c r="AE9" s="28"/>
      <c r="AF9" s="29"/>
      <c r="AG9" s="28"/>
      <c r="AH9" s="28"/>
      <c r="AI9" s="28"/>
    </row>
    <row r="10" spans="1:35" ht="409.5" customHeight="1" x14ac:dyDescent="0.25">
      <c r="A10" s="84"/>
      <c r="B10" s="84"/>
      <c r="C10" s="84"/>
      <c r="D10" s="84"/>
      <c r="E10" s="28">
        <f>3039*81%</f>
        <v>2461.59</v>
      </c>
      <c r="F10" s="38">
        <f>E10/B7</f>
        <v>0.2118311299054346</v>
      </c>
      <c r="G10" s="28">
        <f>3039*19%</f>
        <v>577.41</v>
      </c>
      <c r="H10" s="38"/>
      <c r="I10" s="28"/>
      <c r="J10" s="28"/>
      <c r="K10" s="28" t="s">
        <v>117</v>
      </c>
      <c r="L10" s="28"/>
      <c r="M10" s="28"/>
      <c r="N10" s="28"/>
      <c r="O10" s="28" t="s">
        <v>121</v>
      </c>
      <c r="P10" s="28" t="s">
        <v>118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 t="s">
        <v>119</v>
      </c>
      <c r="AE10" s="28" t="s">
        <v>138</v>
      </c>
      <c r="AF10" s="28" t="s">
        <v>122</v>
      </c>
      <c r="AG10" s="28"/>
      <c r="AH10" s="28"/>
      <c r="AI10" s="28"/>
    </row>
    <row r="11" spans="1:35" ht="48" customHeight="1" x14ac:dyDescent="0.25">
      <c r="A11" s="56" t="s">
        <v>37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70"/>
      <c r="AA11" s="70"/>
      <c r="AB11" s="70"/>
      <c r="AC11" s="70"/>
      <c r="AD11" s="70"/>
      <c r="AE11" s="70"/>
      <c r="AF11" s="70"/>
      <c r="AG11" s="70"/>
      <c r="AH11" s="70"/>
      <c r="AI11" s="70"/>
    </row>
    <row r="12" spans="1:35" ht="43.5" customHeight="1" x14ac:dyDescent="0.25">
      <c r="A12" s="56" t="s">
        <v>35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</sheetData>
  <mergeCells count="27">
    <mergeCell ref="A7:A10"/>
    <mergeCell ref="B7:B10"/>
    <mergeCell ref="C7:C10"/>
    <mergeCell ref="D7:D10"/>
    <mergeCell ref="C3:C5"/>
    <mergeCell ref="I3:I5"/>
    <mergeCell ref="K3:K5"/>
    <mergeCell ref="L3:N4"/>
    <mergeCell ref="D3:D5"/>
    <mergeCell ref="G3:G5"/>
    <mergeCell ref="J3:J5"/>
    <mergeCell ref="O3:AI3"/>
    <mergeCell ref="A1:AI1"/>
    <mergeCell ref="AG4:AI4"/>
    <mergeCell ref="A11:AI11"/>
    <mergeCell ref="A12:AI12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</mergeCells>
  <pageMargins left="0.11811023622047245" right="0.11811023622047245" top="0.35433070866141736" bottom="0.35433070866141736" header="0.31496062992125984" footer="0.31496062992125984"/>
  <pageSetup paperSize="8" scale="4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zoomScale="57" zoomScaleNormal="90" zoomScaleSheetLayoutView="57" workbookViewId="0">
      <selection activeCell="E17" sqref="E17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8" width="22.140625" style="1" customWidth="1"/>
    <col min="9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4" ht="66" customHeight="1" x14ac:dyDescent="0.25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46.5" customHeight="1" x14ac:dyDescent="0.25">
      <c r="A2" s="93" t="s">
        <v>0</v>
      </c>
      <c r="B2" s="95" t="s">
        <v>49</v>
      </c>
      <c r="C2" s="95" t="s">
        <v>50</v>
      </c>
      <c r="D2" s="95" t="s">
        <v>51</v>
      </c>
      <c r="E2" s="95" t="s">
        <v>57</v>
      </c>
      <c r="F2" s="95" t="s">
        <v>58</v>
      </c>
      <c r="G2" s="95" t="s">
        <v>59</v>
      </c>
      <c r="H2" s="85" t="s">
        <v>32</v>
      </c>
      <c r="I2" s="85"/>
      <c r="J2" s="90"/>
      <c r="K2" s="90"/>
      <c r="L2" s="90"/>
      <c r="M2" s="90"/>
    </row>
    <row r="3" spans="1:14" ht="254.25" customHeight="1" x14ac:dyDescent="0.25">
      <c r="A3" s="94"/>
      <c r="B3" s="61"/>
      <c r="C3" s="61"/>
      <c r="D3" s="61"/>
      <c r="E3" s="61"/>
      <c r="F3" s="61"/>
      <c r="G3" s="61"/>
      <c r="H3" s="85" t="s">
        <v>21</v>
      </c>
      <c r="I3" s="85" t="s">
        <v>33</v>
      </c>
      <c r="J3" s="85" t="s">
        <v>2</v>
      </c>
      <c r="K3" s="85" t="s">
        <v>29</v>
      </c>
      <c r="L3" s="85" t="s">
        <v>1</v>
      </c>
      <c r="M3" s="85" t="s">
        <v>31</v>
      </c>
    </row>
    <row r="4" spans="1:14" ht="63.75" hidden="1" customHeight="1" x14ac:dyDescent="0.25">
      <c r="A4" s="75"/>
      <c r="B4" s="62"/>
      <c r="C4" s="62"/>
      <c r="D4" s="62"/>
      <c r="E4" s="62"/>
      <c r="F4" s="62"/>
      <c r="G4" s="62"/>
      <c r="H4" s="86"/>
      <c r="I4" s="86"/>
      <c r="J4" s="86"/>
      <c r="K4" s="86"/>
      <c r="L4" s="86"/>
      <c r="M4" s="86"/>
    </row>
    <row r="5" spans="1:14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4" ht="289.5" customHeight="1" x14ac:dyDescent="0.25">
      <c r="A6" s="96" t="s">
        <v>111</v>
      </c>
      <c r="B6" s="65">
        <v>11620.53</v>
      </c>
      <c r="C6" s="65">
        <v>81</v>
      </c>
      <c r="D6" s="65">
        <v>2725.7963</v>
      </c>
      <c r="E6" s="31">
        <f>M6*81%</f>
        <v>233.28000000000003</v>
      </c>
      <c r="F6" s="39">
        <f>E6/$B$6</f>
        <v>2.0074815864680871E-2</v>
      </c>
      <c r="G6" s="31">
        <f>M6*19%</f>
        <v>54.72</v>
      </c>
      <c r="H6" s="32" t="s">
        <v>98</v>
      </c>
      <c r="I6" s="32" t="s">
        <v>100</v>
      </c>
      <c r="J6" s="32" t="s">
        <v>90</v>
      </c>
      <c r="K6" s="32">
        <v>2</v>
      </c>
      <c r="L6" s="32" t="s">
        <v>101</v>
      </c>
      <c r="M6" s="33">
        <v>288</v>
      </c>
      <c r="N6" s="17"/>
    </row>
    <row r="7" spans="1:14" ht="286.5" customHeight="1" x14ac:dyDescent="0.25">
      <c r="A7" s="97"/>
      <c r="B7" s="83"/>
      <c r="C7" s="83"/>
      <c r="D7" s="83"/>
      <c r="E7" s="31">
        <f t="shared" ref="E7:E18" si="0">M7*81%</f>
        <v>40.905000000000001</v>
      </c>
      <c r="F7" s="39">
        <f t="shared" ref="F7:F18" si="1">E7/$B$6</f>
        <v>3.5200631984943888E-3</v>
      </c>
      <c r="G7" s="31">
        <f t="shared" ref="G7:G18" si="2">M7*19%</f>
        <v>9.5950000000000006</v>
      </c>
      <c r="H7" s="32" t="s">
        <v>98</v>
      </c>
      <c r="I7" s="32" t="s">
        <v>100</v>
      </c>
      <c r="J7" s="32" t="s">
        <v>90</v>
      </c>
      <c r="K7" s="32">
        <v>1</v>
      </c>
      <c r="L7" s="32" t="s">
        <v>102</v>
      </c>
      <c r="M7" s="33">
        <v>50.5</v>
      </c>
      <c r="N7" s="17"/>
    </row>
    <row r="8" spans="1:14" ht="267.75" x14ac:dyDescent="0.25">
      <c r="A8" s="97"/>
      <c r="B8" s="83"/>
      <c r="C8" s="83"/>
      <c r="D8" s="83"/>
      <c r="E8" s="31">
        <f t="shared" si="0"/>
        <v>22.68</v>
      </c>
      <c r="F8" s="39">
        <f t="shared" si="1"/>
        <v>1.9517182090661956E-3</v>
      </c>
      <c r="G8" s="31">
        <f t="shared" si="2"/>
        <v>5.32</v>
      </c>
      <c r="H8" s="17" t="s">
        <v>98</v>
      </c>
      <c r="I8" s="17" t="s">
        <v>100</v>
      </c>
      <c r="J8" s="17" t="s">
        <v>95</v>
      </c>
      <c r="K8" s="17">
        <v>1</v>
      </c>
      <c r="L8" s="17" t="s">
        <v>97</v>
      </c>
      <c r="M8" s="18">
        <v>28</v>
      </c>
      <c r="N8" s="17"/>
    </row>
    <row r="9" spans="1:14" ht="267.75" x14ac:dyDescent="0.25">
      <c r="A9" s="97"/>
      <c r="B9" s="97"/>
      <c r="C9" s="97"/>
      <c r="D9" s="83"/>
      <c r="E9" s="31">
        <f t="shared" si="0"/>
        <v>84.240000000000009</v>
      </c>
      <c r="F9" s="39">
        <f t="shared" si="1"/>
        <v>7.2492390622458701E-3</v>
      </c>
      <c r="G9" s="31">
        <f t="shared" si="2"/>
        <v>19.760000000000002</v>
      </c>
      <c r="H9" s="17" t="s">
        <v>98</v>
      </c>
      <c r="I9" s="17" t="s">
        <v>103</v>
      </c>
      <c r="J9" s="17" t="s">
        <v>104</v>
      </c>
      <c r="K9" s="17">
        <v>1</v>
      </c>
      <c r="L9" s="17" t="s">
        <v>101</v>
      </c>
      <c r="M9" s="18">
        <v>104</v>
      </c>
      <c r="N9" s="17"/>
    </row>
    <row r="10" spans="1:14" ht="267.75" x14ac:dyDescent="0.25">
      <c r="A10" s="97"/>
      <c r="B10" s="97"/>
      <c r="C10" s="97"/>
      <c r="D10" s="83"/>
      <c r="E10" s="31">
        <f t="shared" si="0"/>
        <v>84.240000000000009</v>
      </c>
      <c r="F10" s="39">
        <f t="shared" si="1"/>
        <v>7.2492390622458701E-3</v>
      </c>
      <c r="G10" s="31">
        <f t="shared" si="2"/>
        <v>19.760000000000002</v>
      </c>
      <c r="H10" s="17" t="s">
        <v>98</v>
      </c>
      <c r="I10" s="17" t="s">
        <v>103</v>
      </c>
      <c r="J10" s="17" t="s">
        <v>105</v>
      </c>
      <c r="K10" s="17">
        <v>1</v>
      </c>
      <c r="L10" s="17" t="s">
        <v>101</v>
      </c>
      <c r="M10" s="18">
        <v>104</v>
      </c>
      <c r="N10" s="17"/>
    </row>
    <row r="11" spans="1:14" ht="267.75" x14ac:dyDescent="0.25">
      <c r="A11" s="97"/>
      <c r="B11" s="97"/>
      <c r="C11" s="97"/>
      <c r="D11" s="83"/>
      <c r="E11" s="31">
        <f t="shared" si="0"/>
        <v>84.240000000000009</v>
      </c>
      <c r="F11" s="39">
        <f t="shared" si="1"/>
        <v>7.2492390622458701E-3</v>
      </c>
      <c r="G11" s="31">
        <f t="shared" si="2"/>
        <v>19.760000000000002</v>
      </c>
      <c r="H11" s="17" t="s">
        <v>98</v>
      </c>
      <c r="I11" s="19" t="s">
        <v>103</v>
      </c>
      <c r="J11" s="19" t="s">
        <v>91</v>
      </c>
      <c r="K11" s="19">
        <v>1</v>
      </c>
      <c r="L11" s="19" t="s">
        <v>101</v>
      </c>
      <c r="M11" s="18">
        <v>104</v>
      </c>
    </row>
    <row r="12" spans="1:14" ht="288.75" customHeight="1" x14ac:dyDescent="0.25">
      <c r="A12" s="97"/>
      <c r="B12" s="97"/>
      <c r="C12" s="97"/>
      <c r="D12" s="83"/>
      <c r="E12" s="31">
        <f t="shared" si="0"/>
        <v>98.820000000000007</v>
      </c>
      <c r="F12" s="39">
        <f t="shared" si="1"/>
        <v>8.5039150537884241E-3</v>
      </c>
      <c r="G12" s="31">
        <f t="shared" si="2"/>
        <v>23.18</v>
      </c>
      <c r="H12" s="17" t="s">
        <v>98</v>
      </c>
      <c r="I12" s="19" t="s">
        <v>106</v>
      </c>
      <c r="J12" s="19" t="s">
        <v>94</v>
      </c>
      <c r="K12" s="19">
        <v>1</v>
      </c>
      <c r="L12" s="19" t="s">
        <v>107</v>
      </c>
      <c r="M12" s="18">
        <v>122</v>
      </c>
    </row>
    <row r="13" spans="1:14" ht="267.75" x14ac:dyDescent="0.25">
      <c r="A13" s="97"/>
      <c r="B13" s="97"/>
      <c r="C13" s="97"/>
      <c r="D13" s="83"/>
      <c r="E13" s="31">
        <f t="shared" si="0"/>
        <v>48.6</v>
      </c>
      <c r="F13" s="39">
        <f t="shared" si="1"/>
        <v>4.1822533051418479E-3</v>
      </c>
      <c r="G13" s="31">
        <f t="shared" si="2"/>
        <v>11.4</v>
      </c>
      <c r="H13" s="17" t="s">
        <v>98</v>
      </c>
      <c r="I13" s="17" t="s">
        <v>106</v>
      </c>
      <c r="J13" s="17" t="s">
        <v>94</v>
      </c>
      <c r="K13" s="17">
        <v>1</v>
      </c>
      <c r="L13" s="17" t="s">
        <v>108</v>
      </c>
      <c r="M13" s="18">
        <v>60</v>
      </c>
    </row>
    <row r="14" spans="1:14" ht="267.75" x14ac:dyDescent="0.25">
      <c r="A14" s="97"/>
      <c r="B14" s="97"/>
      <c r="C14" s="97"/>
      <c r="D14" s="83"/>
      <c r="E14" s="31">
        <f t="shared" si="0"/>
        <v>178.20000000000002</v>
      </c>
      <c r="F14" s="39">
        <f t="shared" si="1"/>
        <v>1.533492878552011E-2</v>
      </c>
      <c r="G14" s="31">
        <f t="shared" si="2"/>
        <v>41.8</v>
      </c>
      <c r="H14" s="17" t="s">
        <v>98</v>
      </c>
      <c r="I14" s="17" t="s">
        <v>106</v>
      </c>
      <c r="J14" s="17" t="s">
        <v>93</v>
      </c>
      <c r="K14" s="17">
        <v>1</v>
      </c>
      <c r="L14" s="17" t="s">
        <v>101</v>
      </c>
      <c r="M14" s="18">
        <v>220</v>
      </c>
    </row>
    <row r="15" spans="1:14" ht="267.75" x14ac:dyDescent="0.25">
      <c r="A15" s="97"/>
      <c r="B15" s="97"/>
      <c r="C15" s="97"/>
      <c r="D15" s="83"/>
      <c r="E15" s="31">
        <f t="shared" si="0"/>
        <v>214.65</v>
      </c>
      <c r="F15" s="39">
        <f t="shared" si="1"/>
        <v>1.8471618764376495E-2</v>
      </c>
      <c r="G15" s="31">
        <f t="shared" si="2"/>
        <v>50.35</v>
      </c>
      <c r="H15" s="17" t="s">
        <v>98</v>
      </c>
      <c r="I15" s="17" t="s">
        <v>106</v>
      </c>
      <c r="J15" s="17" t="s">
        <v>93</v>
      </c>
      <c r="K15" s="17">
        <v>1</v>
      </c>
      <c r="L15" s="17" t="s">
        <v>109</v>
      </c>
      <c r="M15" s="18">
        <v>265</v>
      </c>
    </row>
    <row r="16" spans="1:14" ht="267.75" x14ac:dyDescent="0.25">
      <c r="A16" s="97"/>
      <c r="B16" s="97"/>
      <c r="C16" s="97"/>
      <c r="D16" s="83"/>
      <c r="E16" s="31">
        <f t="shared" si="0"/>
        <v>59.940000000000005</v>
      </c>
      <c r="F16" s="39">
        <f t="shared" si="1"/>
        <v>5.1581124096749462E-3</v>
      </c>
      <c r="G16" s="31">
        <f t="shared" si="2"/>
        <v>14.06</v>
      </c>
      <c r="H16" s="17" t="s">
        <v>98</v>
      </c>
      <c r="I16" s="17" t="s">
        <v>106</v>
      </c>
      <c r="J16" s="17" t="s">
        <v>93</v>
      </c>
      <c r="K16" s="17">
        <v>2</v>
      </c>
      <c r="L16" s="17" t="s">
        <v>110</v>
      </c>
      <c r="M16" s="18">
        <v>74</v>
      </c>
      <c r="N16" s="17"/>
    </row>
    <row r="17" spans="1:14" ht="284.25" customHeight="1" x14ac:dyDescent="0.25">
      <c r="A17" s="97"/>
      <c r="B17" s="97"/>
      <c r="C17" s="97"/>
      <c r="D17" s="83"/>
      <c r="E17" s="31">
        <f t="shared" si="0"/>
        <v>48.6</v>
      </c>
      <c r="F17" s="39">
        <f t="shared" si="1"/>
        <v>4.1822533051418479E-3</v>
      </c>
      <c r="G17" s="31">
        <f t="shared" si="2"/>
        <v>11.4</v>
      </c>
      <c r="H17" s="17" t="s">
        <v>98</v>
      </c>
      <c r="I17" s="17" t="s">
        <v>106</v>
      </c>
      <c r="J17" s="17" t="s">
        <v>93</v>
      </c>
      <c r="K17" s="17">
        <v>1</v>
      </c>
      <c r="L17" s="17" t="s">
        <v>108</v>
      </c>
      <c r="M17" s="18">
        <v>60</v>
      </c>
      <c r="N17" s="17"/>
    </row>
    <row r="18" spans="1:14" ht="284.25" customHeight="1" x14ac:dyDescent="0.25">
      <c r="A18" s="66"/>
      <c r="B18" s="66"/>
      <c r="C18" s="66"/>
      <c r="D18" s="84"/>
      <c r="E18" s="31">
        <f t="shared" si="0"/>
        <v>51.84</v>
      </c>
      <c r="F18" s="39">
        <f t="shared" si="1"/>
        <v>4.4610701921513046E-3</v>
      </c>
      <c r="G18" s="31">
        <f t="shared" si="2"/>
        <v>12.16</v>
      </c>
      <c r="H18" s="17" t="s">
        <v>98</v>
      </c>
      <c r="I18" s="17" t="s">
        <v>125</v>
      </c>
      <c r="J18" s="32" t="s">
        <v>126</v>
      </c>
      <c r="K18" s="32">
        <v>4</v>
      </c>
      <c r="L18" s="32" t="s">
        <v>108</v>
      </c>
      <c r="M18" s="33">
        <v>64</v>
      </c>
      <c r="N18" s="22"/>
    </row>
    <row r="19" spans="1:14" ht="15.75" x14ac:dyDescent="0.25">
      <c r="A19" s="21"/>
      <c r="B19" s="21"/>
      <c r="C19" s="21"/>
      <c r="D19" s="21"/>
      <c r="E19" s="21"/>
      <c r="F19" s="21"/>
      <c r="G19" s="21"/>
      <c r="H19" s="22"/>
      <c r="I19" s="22"/>
      <c r="J19" s="22"/>
      <c r="K19" s="22"/>
      <c r="L19" s="22"/>
      <c r="M19" s="23"/>
      <c r="N19" s="22"/>
    </row>
    <row r="20" spans="1:14" ht="39" customHeight="1" x14ac:dyDescent="0.25">
      <c r="A20" s="91" t="s">
        <v>43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4" ht="21.75" customHeight="1" x14ac:dyDescent="0.25">
      <c r="A21" s="87" t="s">
        <v>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</sheetData>
  <mergeCells count="21">
    <mergeCell ref="L3:L4"/>
    <mergeCell ref="A6:A18"/>
    <mergeCell ref="B6:B18"/>
    <mergeCell ref="C6:C18"/>
    <mergeCell ref="D6:D18"/>
    <mergeCell ref="M3:M4"/>
    <mergeCell ref="A21:M21"/>
    <mergeCell ref="A1:M1"/>
    <mergeCell ref="H2:M2"/>
    <mergeCell ref="A20:M20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K3:K4"/>
  </mergeCells>
  <pageMargins left="0.70866141732283472" right="0.70866141732283472" top="0.35433070866141736" bottom="0.35433070866141736" header="0.31496062992125984" footer="0.31496062992125984"/>
  <pageSetup paperSize="9" scale="54" fitToHeight="7" orientation="landscape" r:id="rId1"/>
  <rowBreaks count="2" manualBreakCount="2">
    <brk id="13" max="12" man="1"/>
    <brk id="1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60" zoomScaleNormal="82" workbookViewId="0">
      <selection activeCell="P3" sqref="P3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8" width="22.7109375" style="1" customWidth="1"/>
    <col min="9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 x14ac:dyDescent="0.25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46.5" customHeight="1" x14ac:dyDescent="0.25">
      <c r="A2" s="93" t="s">
        <v>0</v>
      </c>
      <c r="B2" s="95" t="s">
        <v>49</v>
      </c>
      <c r="C2" s="95" t="s">
        <v>50</v>
      </c>
      <c r="D2" s="95" t="s">
        <v>51</v>
      </c>
      <c r="E2" s="95" t="s">
        <v>71</v>
      </c>
      <c r="F2" s="95" t="s">
        <v>67</v>
      </c>
      <c r="G2" s="95" t="s">
        <v>59</v>
      </c>
      <c r="H2" s="85" t="s">
        <v>68</v>
      </c>
      <c r="I2" s="85"/>
      <c r="J2" s="90"/>
      <c r="K2" s="90"/>
      <c r="L2" s="90"/>
    </row>
    <row r="3" spans="1:12" ht="158.25" customHeight="1" x14ac:dyDescent="0.25">
      <c r="A3" s="94"/>
      <c r="B3" s="61"/>
      <c r="C3" s="61"/>
      <c r="D3" s="61"/>
      <c r="E3" s="61"/>
      <c r="F3" s="61"/>
      <c r="G3" s="61"/>
      <c r="H3" s="85" t="s">
        <v>83</v>
      </c>
      <c r="I3" s="85" t="s">
        <v>69</v>
      </c>
      <c r="J3" s="85" t="s">
        <v>84</v>
      </c>
      <c r="K3" s="85" t="s">
        <v>1</v>
      </c>
      <c r="L3" s="85" t="s">
        <v>70</v>
      </c>
    </row>
    <row r="4" spans="1:12" ht="86.25" customHeight="1" x14ac:dyDescent="0.25">
      <c r="A4" s="75"/>
      <c r="B4" s="62"/>
      <c r="C4" s="62"/>
      <c r="D4" s="62"/>
      <c r="E4" s="62"/>
      <c r="F4" s="62"/>
      <c r="G4" s="62"/>
      <c r="H4" s="86"/>
      <c r="I4" s="86"/>
      <c r="J4" s="86"/>
      <c r="K4" s="86"/>
      <c r="L4" s="86"/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315" x14ac:dyDescent="0.25">
      <c r="A6" s="31" t="s">
        <v>111</v>
      </c>
      <c r="B6" s="31">
        <v>11620.53</v>
      </c>
      <c r="C6" s="31">
        <v>81</v>
      </c>
      <c r="D6" s="31">
        <v>2725.7963</v>
      </c>
      <c r="E6" s="31">
        <f>L6*J6*81%</f>
        <v>140.94</v>
      </c>
      <c r="F6" s="39">
        <f>E6/B6</f>
        <v>1.2128534584911359E-2</v>
      </c>
      <c r="G6" s="31">
        <f>L6*J6*19%</f>
        <v>33.06</v>
      </c>
      <c r="H6" s="20" t="s">
        <v>99</v>
      </c>
      <c r="I6" s="20" t="s">
        <v>96</v>
      </c>
      <c r="J6" s="31">
        <v>30</v>
      </c>
      <c r="K6" s="31" t="s">
        <v>92</v>
      </c>
      <c r="L6" s="40">
        <v>5.8</v>
      </c>
    </row>
    <row r="7" spans="1:12" x14ac:dyDescent="0.25">
      <c r="K7" s="24"/>
      <c r="L7" s="25"/>
    </row>
    <row r="8" spans="1:12" x14ac:dyDescent="0.25">
      <c r="A8" s="98" t="s">
        <v>85</v>
      </c>
      <c r="B8" s="98"/>
      <c r="C8" s="98"/>
      <c r="D8" s="98"/>
      <c r="E8" s="98"/>
      <c r="F8" s="98"/>
      <c r="G8" s="98"/>
      <c r="H8" s="98"/>
      <c r="I8" s="98"/>
      <c r="J8" s="98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5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scale="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Normal="100" zoomScaleSheetLayoutView="90" workbookViewId="0">
      <selection activeCell="A7" sqref="A7:L7"/>
    </sheetView>
  </sheetViews>
  <sheetFormatPr defaultRowHeight="15" x14ac:dyDescent="0.2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61.5" customHeight="1" x14ac:dyDescent="0.25">
      <c r="A2" s="93" t="s">
        <v>0</v>
      </c>
      <c r="B2" s="95" t="s">
        <v>49</v>
      </c>
      <c r="C2" s="95" t="s">
        <v>50</v>
      </c>
      <c r="D2" s="95" t="s">
        <v>51</v>
      </c>
      <c r="E2" s="95" t="s">
        <v>60</v>
      </c>
      <c r="F2" s="95" t="s">
        <v>61</v>
      </c>
      <c r="G2" s="95" t="s">
        <v>62</v>
      </c>
      <c r="H2" s="85" t="s">
        <v>39</v>
      </c>
      <c r="I2" s="90"/>
      <c r="J2" s="90"/>
      <c r="K2" s="90"/>
      <c r="L2" s="90"/>
    </row>
    <row r="3" spans="1:12" ht="177" customHeight="1" x14ac:dyDescent="0.25">
      <c r="A3" s="94"/>
      <c r="B3" s="61"/>
      <c r="C3" s="61"/>
      <c r="D3" s="61"/>
      <c r="E3" s="61"/>
      <c r="F3" s="61"/>
      <c r="G3" s="61"/>
      <c r="H3" s="85" t="s">
        <v>6</v>
      </c>
      <c r="I3" s="85" t="s">
        <v>4</v>
      </c>
      <c r="J3" s="85" t="s">
        <v>5</v>
      </c>
      <c r="K3" s="85" t="s">
        <v>42</v>
      </c>
      <c r="L3" s="58"/>
    </row>
    <row r="4" spans="1:12" ht="105" customHeight="1" x14ac:dyDescent="0.25">
      <c r="A4" s="75"/>
      <c r="B4" s="62"/>
      <c r="C4" s="62"/>
      <c r="D4" s="62"/>
      <c r="E4" s="62"/>
      <c r="F4" s="62"/>
      <c r="G4" s="62"/>
      <c r="H4" s="86"/>
      <c r="I4" s="86"/>
      <c r="J4" s="86"/>
      <c r="K4" s="9" t="s">
        <v>41</v>
      </c>
      <c r="L4" s="9" t="s">
        <v>40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customHeight="1" x14ac:dyDescent="0.25">
      <c r="A7" s="99" t="s">
        <v>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tabSelected="1" view="pageBreakPreview" zoomScale="61" zoomScaleNormal="100" zoomScaleSheetLayoutView="61" workbookViewId="0">
      <selection activeCell="B6" sqref="B6:Y10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1.5703125" customWidth="1"/>
    <col min="6" max="6" width="14.5703125" customWidth="1"/>
    <col min="7" max="7" width="14.42578125" customWidth="1"/>
    <col min="8" max="9" width="13" customWidth="1"/>
    <col min="10" max="10" width="11.85546875" customWidth="1"/>
    <col min="11" max="12" width="14.5703125" customWidth="1"/>
    <col min="13" max="13" width="12.42578125" customWidth="1"/>
    <col min="14" max="14" width="12.5703125" customWidth="1"/>
    <col min="15" max="15" width="13.57031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9" ht="59.25" customHeight="1" x14ac:dyDescent="0.25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101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5"/>
      <c r="BG1" s="5"/>
    </row>
    <row r="2" spans="1:59" ht="108.75" customHeight="1" x14ac:dyDescent="0.25">
      <c r="A2" s="102" t="s">
        <v>0</v>
      </c>
      <c r="B2" s="104" t="s">
        <v>49</v>
      </c>
      <c r="C2" s="104" t="s">
        <v>50</v>
      </c>
      <c r="D2" s="104" t="s">
        <v>51</v>
      </c>
      <c r="E2" s="104" t="s">
        <v>82</v>
      </c>
      <c r="F2" s="109"/>
      <c r="G2" s="109"/>
      <c r="H2" s="109"/>
      <c r="I2" s="109"/>
      <c r="J2" s="104" t="s">
        <v>63</v>
      </c>
      <c r="K2" s="104"/>
      <c r="L2" s="104"/>
      <c r="M2" s="104"/>
      <c r="N2" s="109"/>
      <c r="O2" s="104" t="s">
        <v>64</v>
      </c>
      <c r="P2" s="104"/>
      <c r="Q2" s="104"/>
      <c r="R2" s="104"/>
      <c r="S2" s="110"/>
      <c r="T2" s="102" t="s">
        <v>120</v>
      </c>
      <c r="U2" s="102"/>
      <c r="V2" s="102"/>
      <c r="W2" s="102"/>
      <c r="X2" s="102"/>
      <c r="Y2" s="102" t="s">
        <v>127</v>
      </c>
      <c r="Z2" s="102"/>
      <c r="AA2" s="102"/>
      <c r="AB2" s="102"/>
      <c r="AC2" s="102"/>
      <c r="AD2" s="106" t="s">
        <v>65</v>
      </c>
      <c r="AE2" s="107"/>
      <c r="AF2" s="107"/>
      <c r="AG2" s="107"/>
      <c r="AH2" s="108"/>
    </row>
    <row r="3" spans="1:59" ht="378" customHeight="1" x14ac:dyDescent="0.25">
      <c r="A3" s="103"/>
      <c r="B3" s="105"/>
      <c r="C3" s="104"/>
      <c r="D3" s="86"/>
      <c r="E3" s="10" t="s">
        <v>44</v>
      </c>
      <c r="F3" s="10" t="s">
        <v>47</v>
      </c>
      <c r="G3" s="11" t="s">
        <v>48</v>
      </c>
      <c r="H3" s="10" t="s">
        <v>22</v>
      </c>
      <c r="I3" s="11" t="s">
        <v>45</v>
      </c>
      <c r="J3" s="10" t="s">
        <v>24</v>
      </c>
      <c r="K3" s="10" t="s">
        <v>23</v>
      </c>
      <c r="L3" s="11" t="s">
        <v>48</v>
      </c>
      <c r="M3" s="10" t="s">
        <v>22</v>
      </c>
      <c r="N3" s="11" t="s">
        <v>45</v>
      </c>
      <c r="O3" s="10" t="s">
        <v>24</v>
      </c>
      <c r="P3" s="10" t="s">
        <v>23</v>
      </c>
      <c r="Q3" s="11" t="s">
        <v>48</v>
      </c>
      <c r="R3" s="10" t="s">
        <v>22</v>
      </c>
      <c r="S3" s="10" t="s">
        <v>25</v>
      </c>
      <c r="T3" s="10" t="s">
        <v>24</v>
      </c>
      <c r="U3" s="10" t="s">
        <v>23</v>
      </c>
      <c r="V3" s="11" t="s">
        <v>48</v>
      </c>
      <c r="W3" s="10" t="s">
        <v>22</v>
      </c>
      <c r="X3" s="11" t="s">
        <v>45</v>
      </c>
      <c r="Y3" s="14" t="s">
        <v>24</v>
      </c>
      <c r="Z3" s="14" t="s">
        <v>23</v>
      </c>
      <c r="AA3" s="15" t="s">
        <v>48</v>
      </c>
      <c r="AB3" s="14" t="s">
        <v>22</v>
      </c>
      <c r="AC3" s="15" t="s">
        <v>45</v>
      </c>
      <c r="AD3" s="14" t="s">
        <v>24</v>
      </c>
      <c r="AE3" s="14" t="s">
        <v>23</v>
      </c>
      <c r="AF3" s="15" t="s">
        <v>48</v>
      </c>
      <c r="AG3" s="14" t="s">
        <v>22</v>
      </c>
      <c r="AH3" s="15" t="s">
        <v>45</v>
      </c>
    </row>
    <row r="4" spans="1:59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s="42" customFormat="1" ht="62.25" customHeight="1" x14ac:dyDescent="0.25">
      <c r="A5" s="31" t="s">
        <v>111</v>
      </c>
      <c r="B5" s="52">
        <f>F5+K5+P5+U5+Z5</f>
        <v>11620.500003000001</v>
      </c>
      <c r="C5" s="43">
        <v>81</v>
      </c>
      <c r="D5" s="52">
        <f>H5+M5+R5+W5+AB5</f>
        <v>2725.7962969999999</v>
      </c>
      <c r="E5" s="45">
        <f>'Организация СП'!E7+'Организация СП'!G7+'Организация СП'!E8+'Организация СП'!G8+'Организация СП'!H7+'Организация СП'!J7+'Организация СП'!H8+'Организация СП'!J8</f>
        <v>1122.3</v>
      </c>
      <c r="F5" s="45">
        <f>'Организация СП'!E7+'Организация СП'!E8+'Организация СП'!H7+'Организация СП'!H8</f>
        <v>909.0630000000001</v>
      </c>
      <c r="G5" s="46">
        <f>F5/B5</f>
        <v>7.822925001207455E-2</v>
      </c>
      <c r="H5" s="45">
        <f>'Организация СП'!G7+'Организация СП'!J7+'Организация СП'!G8+'Организация СП'!J8</f>
        <v>213.23699999999999</v>
      </c>
      <c r="I5" s="44">
        <f>H5/D5</f>
        <v>7.822925001207455E-2</v>
      </c>
      <c r="J5" s="55">
        <f>'Реаб оборудование+оргтехника '!E7+'Реаб оборудование+оргтехника '!E8+'Реаб оборудование+оргтехника '!E9+'Реаб оборудование+оргтехника '!E10+'Реаб оборудование+оргтехника '!G9+'Реаб оборудование+оргтехника '!G8+'Реаб оборудование+оргтехника '!G7+'Реаб оборудование+оргтехника '!G10</f>
        <v>11101.356299999999</v>
      </c>
      <c r="K5" s="54">
        <f>'Реаб оборудование+оргтехника '!E7+'Реаб оборудование+оргтехника '!E8+'Реаб оборудование+оргтехника '!E9+'Реаб оборудование+оргтехника '!E10</f>
        <v>8992.0986030000004</v>
      </c>
      <c r="L5" s="46">
        <f>K5/B5</f>
        <v>0.77381339879338751</v>
      </c>
      <c r="M5" s="41">
        <f>'Реаб оборудование+оргтехника '!G7+'Реаб оборудование+оргтехника '!G8+'Реаб оборудование+оргтехника '!G9+'Реаб оборудование+оргтехника '!G10</f>
        <v>2109.257697</v>
      </c>
      <c r="N5" s="44">
        <f>M5/D5</f>
        <v>0.77381339879338762</v>
      </c>
      <c r="O5" s="41">
        <f>'Реаб оборудование+оргтехника '!H7+'Реаб оборудование+оргтехника '!H8+'Реаб оборудование+оргтехника '!H9+'Реаб оборудование+оргтехника '!H10+'Реаб оборудование+оргтехника '!I10+'Реаб оборудование+оргтехника '!J9+'Реаб оборудование+оргтехника '!J8+'Реаб оборудование+оргтехника '!J7</f>
        <v>405.14</v>
      </c>
      <c r="P5" s="41">
        <f>'Реаб оборудование+оргтехника '!H7+'Реаб оборудование+оргтехника '!H8+'Реаб оборудование+оргтехника '!H9+'Реаб оборудование+оргтехника '!H10</f>
        <v>328.16339999999997</v>
      </c>
      <c r="Q5" s="51">
        <f>P5/B5</f>
        <v>2.8240041299021541E-2</v>
      </c>
      <c r="R5" s="41">
        <f>'Реаб оборудование+оргтехника '!J7+'Реаб оборудование+оргтехника '!J8+'Реаб оборудование+оргтехника '!J9+'Реаб оборудование+оргтехника '!J10</f>
        <v>76.976599999999991</v>
      </c>
      <c r="S5" s="44">
        <f>R5/D5</f>
        <v>2.8240041299021544E-2</v>
      </c>
      <c r="T5" s="45">
        <f>SUM('Обучение специалистов'!M6:M18)</f>
        <v>1543.5</v>
      </c>
      <c r="U5" s="41">
        <f>SUM('Обучение специалистов'!E6:E18)</f>
        <v>1250.2350000000001</v>
      </c>
      <c r="V5" s="44">
        <f>U5/B5</f>
        <v>0.10758874400217149</v>
      </c>
      <c r="W5" s="41">
        <f>SUM('Обучение специалистов'!G6:G18)</f>
        <v>293.26499999999999</v>
      </c>
      <c r="X5" s="44">
        <f>W5/D5</f>
        <v>0.10758874400217149</v>
      </c>
      <c r="Y5" s="48">
        <f>Z5+AB5</f>
        <v>174</v>
      </c>
      <c r="Z5" s="43">
        <f>'Обучение инвалидов'!E6</f>
        <v>140.94</v>
      </c>
      <c r="AA5" s="46">
        <f>'Обучение инвалидов'!F6</f>
        <v>1.2128534584911359E-2</v>
      </c>
      <c r="AB5" s="43">
        <f>'Обучение инвалидов'!G6</f>
        <v>33.06</v>
      </c>
      <c r="AC5" s="46">
        <f>'Обучение инвалидов'!G6/'Обучение инвалидов'!D6</f>
        <v>1.2128565879996243E-2</v>
      </c>
      <c r="AD5" s="41">
        <v>0</v>
      </c>
      <c r="AE5" s="41">
        <v>0</v>
      </c>
      <c r="AF5" s="41">
        <v>0</v>
      </c>
      <c r="AG5" s="41">
        <v>0</v>
      </c>
      <c r="AH5" s="30">
        <v>0</v>
      </c>
    </row>
    <row r="6" spans="1:59" ht="15.75" x14ac:dyDescent="0.25">
      <c r="B6" s="53">
        <f>F5+K5+P5+U5+Z5</f>
        <v>11620.500003000001</v>
      </c>
      <c r="C6" s="49"/>
      <c r="D6" s="52">
        <f>H5+M5+R5+W5+AB5</f>
        <v>2725.7962969999999</v>
      </c>
      <c r="E6" s="47">
        <f>F5+H5</f>
        <v>1122.3000000000002</v>
      </c>
      <c r="J6" s="47">
        <f>K5+M5</f>
        <v>11101.356299999999</v>
      </c>
      <c r="O6">
        <f>P5+R5</f>
        <v>405.14</v>
      </c>
      <c r="T6" s="47">
        <f>U5+W5</f>
        <v>1543.5</v>
      </c>
      <c r="Y6" s="47">
        <f>Z5+AB5</f>
        <v>174</v>
      </c>
    </row>
    <row r="7" spans="1:59" x14ac:dyDescent="0.25">
      <c r="B7" s="50">
        <f>B5-B6</f>
        <v>0</v>
      </c>
      <c r="C7" s="49"/>
      <c r="D7" s="50">
        <f>D5-D6</f>
        <v>0</v>
      </c>
      <c r="E7" s="47"/>
      <c r="K7">
        <f>K5+M5</f>
        <v>11101.356299999999</v>
      </c>
      <c r="Q7">
        <f>P5+R5</f>
        <v>405.14</v>
      </c>
    </row>
    <row r="8" spans="1:59" x14ac:dyDescent="0.25">
      <c r="F8" s="47">
        <f>B7+D7</f>
        <v>0</v>
      </c>
    </row>
    <row r="9" spans="1:59" x14ac:dyDescent="0.25">
      <c r="D9" s="47">
        <f>E5+J5+O5+T5+Y5</f>
        <v>14346.296299999998</v>
      </c>
    </row>
    <row r="10" spans="1:59" x14ac:dyDescent="0.25">
      <c r="B10">
        <f>B5+D5</f>
        <v>14346.296300000002</v>
      </c>
    </row>
  </sheetData>
  <mergeCells count="11">
    <mergeCell ref="A1:AH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'Организация СП'!Область_печати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2020-04-28T09:15:34Z</dcterms:modified>
</cp:coreProperties>
</file>